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528"/>
  <workbookPr defaultThemeVersion="124226"/>
  <mc:AlternateContent xmlns:mc="http://schemas.openxmlformats.org/markup-compatibility/2006">
    <mc:Choice Requires="x15">
      <x15ac:absPath xmlns:x15ac="http://schemas.microsoft.com/office/spreadsheetml/2010/11/ac" url="W:\Railroad Financial Conferences Reports to Commissioners\Q3 2017\"/>
    </mc:Choice>
  </mc:AlternateContent>
  <bookViews>
    <workbookView xWindow="13815" yWindow="150" windowWidth="14985" windowHeight="12045" tabRatio="428" activeTab="1"/>
  </bookViews>
  <sheets>
    <sheet name="INPUT" sheetId="6" r:id="rId1"/>
    <sheet name="Output" sheetId="1" r:id="rId2"/>
  </sheets>
  <calcPr calcId="171027"/>
</workbook>
</file>

<file path=xl/calcChain.xml><?xml version="1.0" encoding="utf-8"?>
<calcChain xmlns="http://schemas.openxmlformats.org/spreadsheetml/2006/main">
  <c r="A20" i="1" l="1"/>
  <c r="A19" i="1"/>
  <c r="C9" i="1" l="1"/>
  <c r="G16" i="1" l="1"/>
  <c r="F16" i="1"/>
  <c r="E16" i="1"/>
  <c r="D16" i="1"/>
  <c r="C16" i="1"/>
  <c r="G14" i="1"/>
  <c r="F14" i="1"/>
  <c r="E14" i="1"/>
  <c r="D14" i="1"/>
  <c r="C14" i="1"/>
  <c r="G12" i="1"/>
  <c r="F12" i="1"/>
  <c r="E12" i="1"/>
  <c r="D12" i="1"/>
  <c r="C12" i="1"/>
  <c r="G10" i="1"/>
  <c r="F10" i="1"/>
  <c r="E10" i="1"/>
  <c r="D10" i="1"/>
  <c r="C10" i="1"/>
  <c r="G8" i="1"/>
  <c r="F8" i="1"/>
  <c r="E8" i="1"/>
  <c r="D8" i="1"/>
  <c r="C8"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<sst xmlns="http://schemas.openxmlformats.org/spreadsheetml/2006/main" count="76" uniqueCount="40">
  <si>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</si>
  <si>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</si>
  <si>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</si>
  <si>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</si>
  <si>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</si>
  <si>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</si>
  <si>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</si>
  <si>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</si>
  <si>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</si>
  <si>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</si>
  <si>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</si>
  <si>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</si>
  <si>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</si>
  <si>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</si>
  <si>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</si>
  <si>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</si>
  <si>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</si>
  <si>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</si>
  <si>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</si>
  <si>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</si>
  <si>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</si>
  <si>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</si>
  <si>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</si>
  <si>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</si>
  <si>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</si>
  <si>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</si>
  <si>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</si>
  <si>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</si>
  <si>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</si>
  <si>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</si>
  <si>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</si>
  <si>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</si>
  <si>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</si>
  <si>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</si>
  <si>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</si>
  <si>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</si>
  <si>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</si>
  <si>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</si>
  <si>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September 30, 2017.</t>
  </si>
  <si>
    <t>CSX Transportation Inc.'s quarter ended on September 23,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</si>
</sst>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4">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1"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115" zoomScaleNormal="115" workbookViewId="0">
      <selection activeCell="C3" sqref="C3"/>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customHeight="1" x14ac:dyDescent="0.2">
      <c r="A1" s="22" t="s">
        <v>37</v>
      </c>
      <c r="B1" s="10"/>
      <c r="C1" s="45" t="s">
        <v>38</v>
      </c>
      <c r="D1" s="45"/>
      <c r="E1" s="45"/>
      <c r="F1" s="45"/>
      <c r="G1" s="10"/>
    </row>
    <row r="2" spans="1:36" ht="30" customHeight="1" x14ac:dyDescent="0.2">
      <c r="A2" s="30" t="s">
        <v>36</v>
      </c>
      <c r="B2" s="10"/>
      <c r="C2" s="45" t="s">
        <v>39</v>
      </c>
      <c r="D2" s="45"/>
      <c r="E2" s="45"/>
      <c r="F2" s="45"/>
      <c r="G2" s="10"/>
    </row>
    <row r="3" spans="1:36" x14ac:dyDescent="0.2">
      <c r="A3" s="24">
        <v>2017</v>
      </c>
    </row>
    <row r="4" spans="1:36" ht="12" thickBot="1" x14ac:dyDescent="0.25">
      <c r="A4" s="24">
        <f>A3-1</f>
        <v>2016</v>
      </c>
    </row>
    <row r="5" spans="1:36" s="8" customFormat="1" ht="13.5" thickBot="1" x14ac:dyDescent="0.25">
      <c r="A5"/>
      <c r="B5" s="46" t="s">
        <v>18</v>
      </c>
      <c r="C5" s="47"/>
      <c r="D5" s="47"/>
      <c r="E5" s="47"/>
      <c r="F5" s="48"/>
      <c r="G5" s="39" t="s">
        <v>19</v>
      </c>
      <c r="H5" s="40"/>
      <c r="I5" s="40"/>
      <c r="J5" s="40"/>
      <c r="K5" s="41"/>
      <c r="L5" s="42" t="s">
        <v>33</v>
      </c>
      <c r="M5" s="43"/>
      <c r="N5" s="43"/>
      <c r="O5" s="43"/>
      <c r="P5" s="44"/>
      <c r="Q5" s="46" t="s">
        <v>20</v>
      </c>
      <c r="R5" s="47"/>
      <c r="S5" s="47"/>
      <c r="T5" s="47"/>
      <c r="U5" s="48"/>
      <c r="V5" s="39" t="s">
        <v>21</v>
      </c>
      <c r="W5" s="40"/>
      <c r="X5" s="40"/>
      <c r="Y5" s="40"/>
      <c r="Z5" s="41"/>
      <c r="AA5" s="42" t="s">
        <v>34</v>
      </c>
      <c r="AB5" s="43"/>
      <c r="AC5" s="43"/>
      <c r="AD5" s="43"/>
      <c r="AE5" s="44"/>
      <c r="AF5" s="42" t="s">
        <v>22</v>
      </c>
      <c r="AG5" s="43"/>
      <c r="AH5" s="43"/>
      <c r="AI5" s="43"/>
      <c r="AJ5" s="44"/>
    </row>
    <row r="6" spans="1:36" ht="135"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35" customFormat="1" x14ac:dyDescent="0.2">
      <c r="A16" s="31" t="s">
        <v>36</v>
      </c>
      <c r="B16" s="32">
        <v>545081</v>
      </c>
      <c r="C16" s="33">
        <v>344789</v>
      </c>
      <c r="D16" s="33">
        <v>101706</v>
      </c>
      <c r="E16" s="33">
        <v>169828</v>
      </c>
      <c r="F16" s="34">
        <v>51</v>
      </c>
      <c r="G16" s="32">
        <v>170288</v>
      </c>
      <c r="H16" s="33">
        <v>108432</v>
      </c>
      <c r="I16" s="33">
        <v>851</v>
      </c>
      <c r="J16" s="33">
        <v>64628</v>
      </c>
      <c r="K16" s="34">
        <v>57</v>
      </c>
      <c r="L16" s="32">
        <v>53581</v>
      </c>
      <c r="M16" s="33">
        <v>33126</v>
      </c>
      <c r="N16" s="33">
        <v>8168</v>
      </c>
      <c r="O16" s="33">
        <v>9198</v>
      </c>
      <c r="P16" s="34">
        <v>452</v>
      </c>
      <c r="Q16" s="32">
        <v>26534</v>
      </c>
      <c r="R16" s="33">
        <v>16681</v>
      </c>
      <c r="S16" s="33">
        <v>5772</v>
      </c>
      <c r="T16" s="33">
        <v>8959</v>
      </c>
      <c r="U16" s="34">
        <v>2886</v>
      </c>
      <c r="V16" s="32">
        <v>183954</v>
      </c>
      <c r="W16" s="33">
        <v>118981</v>
      </c>
      <c r="X16" s="33">
        <v>5643</v>
      </c>
      <c r="Y16" s="33">
        <v>66848</v>
      </c>
      <c r="Z16" s="34">
        <v>107</v>
      </c>
      <c r="AA16" s="32">
        <v>20147</v>
      </c>
      <c r="AB16" s="33">
        <v>10321</v>
      </c>
      <c r="AC16" s="33">
        <v>-1522</v>
      </c>
      <c r="AD16" s="33">
        <v>5128</v>
      </c>
      <c r="AE16" s="34">
        <v>1455</v>
      </c>
      <c r="AF16" s="32">
        <v>392079</v>
      </c>
      <c r="AG16" s="33">
        <v>252357</v>
      </c>
      <c r="AH16" s="33">
        <v>45942</v>
      </c>
      <c r="AI16" s="33">
        <v>173020</v>
      </c>
      <c r="AJ16" s="34">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29" customFormat="1" x14ac:dyDescent="0.2">
      <c r="A20" s="11" t="s">
        <v>37</v>
      </c>
      <c r="B20" s="19">
        <v>605904</v>
      </c>
      <c r="C20" s="17">
        <v>350055</v>
      </c>
      <c r="D20" s="17">
        <v>18102</v>
      </c>
      <c r="E20" s="17">
        <v>199685</v>
      </c>
      <c r="F20" s="21">
        <v>75</v>
      </c>
      <c r="G20" s="19">
        <v>201781</v>
      </c>
      <c r="H20" s="17">
        <v>107867</v>
      </c>
      <c r="I20" s="17">
        <v>7430</v>
      </c>
      <c r="J20" s="17">
        <v>83216</v>
      </c>
      <c r="K20" s="21">
        <v>318</v>
      </c>
      <c r="L20" s="19">
        <v>63715</v>
      </c>
      <c r="M20" s="17">
        <v>36447</v>
      </c>
      <c r="N20" s="17">
        <v>-159</v>
      </c>
      <c r="O20" s="17">
        <v>14280</v>
      </c>
      <c r="P20" s="21">
        <v>803</v>
      </c>
      <c r="Q20" s="19">
        <v>30012</v>
      </c>
      <c r="R20" s="17">
        <v>17342</v>
      </c>
      <c r="S20" s="17">
        <v>-204</v>
      </c>
      <c r="T20" s="17">
        <v>12501</v>
      </c>
      <c r="U20" s="21">
        <v>4163</v>
      </c>
      <c r="V20" s="19">
        <v>202715</v>
      </c>
      <c r="W20" s="17">
        <v>117035</v>
      </c>
      <c r="X20" s="17">
        <v>7903</v>
      </c>
      <c r="Y20" s="17">
        <v>83991</v>
      </c>
      <c r="Z20" s="21">
        <v>127</v>
      </c>
      <c r="AA20" s="19">
        <v>27518.171999999999</v>
      </c>
      <c r="AB20" s="17">
        <v>15219</v>
      </c>
      <c r="AC20" s="17">
        <v>-708</v>
      </c>
      <c r="AD20" s="17">
        <v>4360.4319999999998</v>
      </c>
      <c r="AE20" s="21">
        <v>972.37633599999992</v>
      </c>
      <c r="AF20" s="19">
        <v>449705.26535999333</v>
      </c>
      <c r="AG20" s="17">
        <v>255052.48309465582</v>
      </c>
      <c r="AH20" s="17">
        <v>15927.026729993324</v>
      </c>
      <c r="AI20" s="17">
        <v>226993.13878000001</v>
      </c>
      <c r="AJ20" s="21">
        <v>17193.208320000002</v>
      </c>
    </row>
    <row r="21" spans="1:36" ht="12" thickBot="1" x14ac:dyDescent="0.25">
      <c r="A21" s="9" t="s">
        <v>30</v>
      </c>
      <c r="B21" s="26"/>
      <c r="C21" s="27"/>
      <c r="D21" s="27"/>
      <c r="E21" s="27"/>
      <c r="F21" s="28"/>
      <c r="G21" s="26"/>
      <c r="H21" s="27"/>
      <c r="I21" s="27"/>
      <c r="J21" s="27"/>
      <c r="K21" s="28"/>
      <c r="L21" s="26"/>
      <c r="M21" s="27"/>
      <c r="N21" s="27"/>
      <c r="O21" s="27"/>
      <c r="P21" s="28"/>
      <c r="Q21" s="26"/>
      <c r="R21" s="27"/>
      <c r="S21" s="27"/>
      <c r="T21" s="27"/>
      <c r="U21" s="28"/>
      <c r="V21" s="26"/>
      <c r="W21" s="27"/>
      <c r="X21" s="27"/>
      <c r="Y21" s="27"/>
      <c r="Z21" s="28"/>
      <c r="AA21" s="26"/>
      <c r="AB21" s="27"/>
      <c r="AC21" s="27"/>
      <c r="AD21" s="27"/>
      <c r="AE21" s="28"/>
      <c r="AF21" s="26"/>
      <c r="AG21" s="27"/>
      <c r="AH21" s="27"/>
      <c r="AI21" s="27"/>
      <c r="AJ21" s="28"/>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abSelected="1" workbookViewId="0">
      <selection activeCell="A21" sqref="A21"/>
    </sheetView>
  </sheetViews>
  <sheetFormatPr defaultRowHeight="12.75" x14ac:dyDescent="0.2"/>
  <cols>
    <col min="1" max="1" width="33.83203125" style="1" customWidth="1"/>
    <col min="2" max="2" width="20" style="1" customWidth="1"/>
    <col min="3" max="3" width="17.5" style="38" customWidth="1"/>
    <col min="4" max="4" width="17.83203125" style="38" customWidth="1"/>
    <col min="5" max="5" width="16.6640625" style="1" customWidth="1"/>
    <col min="6" max="6" width="20.5" style="38" customWidth="1"/>
    <col min="7" max="7" width="23.83203125" style="1" customWidth="1"/>
    <col min="8" max="8" width="2.6640625" style="1" customWidth="1"/>
    <col min="9" max="16384" width="9.33203125" style="1"/>
  </cols>
  <sheetData>
    <row r="1" spans="1:7" ht="15.95" customHeight="1" x14ac:dyDescent="0.2">
      <c r="A1" s="51" t="s">
        <v>0</v>
      </c>
      <c r="B1" s="51"/>
      <c r="C1" s="51"/>
      <c r="D1" s="51"/>
      <c r="E1" s="51"/>
      <c r="F1" s="51"/>
      <c r="G1" s="51"/>
    </row>
    <row r="2" spans="1:7" ht="15.95" customHeight="1" x14ac:dyDescent="0.2">
      <c r="A2" s="51" t="s">
        <v>1</v>
      </c>
      <c r="B2" s="51"/>
      <c r="C2" s="51"/>
      <c r="D2" s="51"/>
      <c r="E2" s="51"/>
      <c r="F2" s="51"/>
      <c r="G2" s="51"/>
    </row>
    <row r="3" spans="1:7" ht="72" customHeight="1" x14ac:dyDescent="0.2">
      <c r="A3" s="2"/>
      <c r="B3" s="3" t="str">
        <f>INPUT!A1&amp;"*"</f>
        <v>QUARTER ENDED SEPTEMBER 30 2017*</v>
      </c>
      <c r="C3" s="36" t="s">
        <v>2</v>
      </c>
      <c r="D3" s="36" t="s">
        <v>3</v>
      </c>
      <c r="E3" s="4" t="s">
        <v>4</v>
      </c>
      <c r="F3" s="36" t="s">
        <v>5</v>
      </c>
      <c r="G3" s="4" t="s">
        <v>6</v>
      </c>
    </row>
    <row r="4" spans="1:7" ht="27.95" customHeight="1" x14ac:dyDescent="0.2">
      <c r="A4" s="49" t="s">
        <v>7</v>
      </c>
      <c r="B4" s="3">
        <f>INPUT!A3</f>
        <v>2017</v>
      </c>
      <c r="C4" s="37">
        <f>VLOOKUP(INPUT!$A$1,INPUT!$A$5:$AJ$21,2,FALSE)</f>
        <v>605904</v>
      </c>
      <c r="D4" s="37">
        <f>VLOOKUP(INPUT!$A$1,INPUT!$A$5:$AJ$21,3,FALSE)</f>
        <v>350055</v>
      </c>
      <c r="E4" s="25">
        <f>VLOOKUP(INPUT!$A$1,INPUT!$A$5:$AJ$21,4,FALSE)</f>
        <v>18102</v>
      </c>
      <c r="F4" s="37">
        <f>VLOOKUP(INPUT!$A$1,INPUT!$A$5:$AJ$21,5,FALSE)</f>
        <v>199685</v>
      </c>
      <c r="G4" s="23">
        <f>VLOOKUP(INPUT!$A$1,INPUT!$A$5:$AJ$21,6,FALSE)</f>
        <v>75</v>
      </c>
    </row>
    <row r="5" spans="1:7" ht="27.95" customHeight="1" x14ac:dyDescent="0.2">
      <c r="A5" s="50"/>
      <c r="B5" s="3">
        <f>INPUT!A4</f>
        <v>2016</v>
      </c>
      <c r="C5" s="37">
        <f>VLOOKUP(INPUT!$A$2,INPUT!$A$5:$AJ$21,2,FALSE)</f>
        <v>545081</v>
      </c>
      <c r="D5" s="37">
        <f>VLOOKUP(INPUT!$A$2,INPUT!$A$5:$AJ$21,3,FALSE)</f>
        <v>344789</v>
      </c>
      <c r="E5" s="25">
        <f>VLOOKUP(INPUT!$A$2,INPUT!$A$5:$AJ$21,4,FALSE)</f>
        <v>101706</v>
      </c>
      <c r="F5" s="37">
        <f>VLOOKUP(INPUT!$A$2,INPUT!$A$5:$AJ$21,5,FALSE)</f>
        <v>169828</v>
      </c>
      <c r="G5" s="23">
        <f>VLOOKUP(INPUT!$A$2,INPUT!$A$5:$AJ$21,6,FALSE)</f>
        <v>51</v>
      </c>
    </row>
    <row r="6" spans="1:7" ht="27.95" customHeight="1" x14ac:dyDescent="0.2">
      <c r="A6" s="52" t="s">
        <v>19</v>
      </c>
      <c r="B6" s="3">
        <f>$B$4</f>
        <v>2017</v>
      </c>
      <c r="C6" s="37">
        <f>VLOOKUP(INPUT!$A$1,INPUT!$A$5:$AJ$21,7,FALSE)</f>
        <v>201781</v>
      </c>
      <c r="D6" s="37">
        <f>VLOOKUP(INPUT!$A$1,INPUT!$A$5:$AJ$21,8,FALSE)</f>
        <v>107867</v>
      </c>
      <c r="E6" s="25">
        <f>VLOOKUP(INPUT!$A$1,INPUT!$A$5:$AJ$21,9,FALSE)</f>
        <v>7430</v>
      </c>
      <c r="F6" s="37">
        <f>VLOOKUP(INPUT!$A$1,INPUT!$A$5:$AJ$21,10,FALSE)</f>
        <v>83216</v>
      </c>
      <c r="G6" s="23">
        <f>VLOOKUP(INPUT!$A$1,INPUT!$A$5:$AJ$21,11,FALSE)</f>
        <v>318</v>
      </c>
    </row>
    <row r="7" spans="1:7" ht="27.95" customHeight="1" x14ac:dyDescent="0.2">
      <c r="A7" s="53"/>
      <c r="B7" s="3">
        <f>$B$5</f>
        <v>2016</v>
      </c>
      <c r="C7" s="37">
        <f>VLOOKUP(INPUT!$A$2,INPUT!$A$5:$AJ$21,7,FALSE)</f>
        <v>170288</v>
      </c>
      <c r="D7" s="37">
        <f>VLOOKUP(INPUT!$A$2,INPUT!$A$5:$AJ$21,8,FALSE)</f>
        <v>108432</v>
      </c>
      <c r="E7" s="25">
        <f>VLOOKUP(INPUT!$A$2,INPUT!$A$5:$AJ$21,9,FALSE)</f>
        <v>851</v>
      </c>
      <c r="F7" s="37">
        <f>VLOOKUP(INPUT!$A$2,INPUT!$A$5:$AJ$21,10,FALSE)</f>
        <v>64628</v>
      </c>
      <c r="G7" s="23">
        <f>VLOOKUP(INPUT!$A$2,INPUT!$A$5:$AJ$21,11,FALSE)</f>
        <v>57</v>
      </c>
    </row>
    <row r="8" spans="1:7" ht="27.95" customHeight="1" x14ac:dyDescent="0.2">
      <c r="A8" s="49" t="s">
        <v>8</v>
      </c>
      <c r="B8" s="3">
        <f>$B$4</f>
        <v>2017</v>
      </c>
      <c r="C8" s="37">
        <f>VLOOKUP(INPUT!$A$1,INPUT!$A$5:$AJ$21,12,FALSE)</f>
        <v>63715</v>
      </c>
      <c r="D8" s="37">
        <f>VLOOKUP(INPUT!$A$1,INPUT!$A$5:$AJ$21,13,FALSE)</f>
        <v>36447</v>
      </c>
      <c r="E8" s="25">
        <f>VLOOKUP(INPUT!$A$1,INPUT!$A$5:$AJ$21,14,FALSE)</f>
        <v>-159</v>
      </c>
      <c r="F8" s="37">
        <f>VLOOKUP(INPUT!$A$1,INPUT!$A$5:$AJ$21,15,FALSE)</f>
        <v>14280</v>
      </c>
      <c r="G8" s="23">
        <f>VLOOKUP(INPUT!$A$1,INPUT!$A$5:$AJ$21,16,FALSE)</f>
        <v>803</v>
      </c>
    </row>
    <row r="9" spans="1:7" ht="27.95" customHeight="1" x14ac:dyDescent="0.2">
      <c r="A9" s="50"/>
      <c r="B9" s="3">
        <f>$B$5</f>
        <v>2016</v>
      </c>
      <c r="C9" s="37">
        <f>VLOOKUP(INPUT!$A$2,INPUT!$A$5:$AJ$21,12,FALSE)</f>
        <v>53581</v>
      </c>
      <c r="D9" s="37">
        <f>VLOOKUP(INPUT!$A$2,INPUT!$A$5:$AJ$21,13,FALSE)</f>
        <v>33126</v>
      </c>
      <c r="E9" s="25">
        <f>VLOOKUP(INPUT!$A$2,INPUT!$A$5:$AJ$21,14,FALSE)</f>
        <v>8168</v>
      </c>
      <c r="F9" s="37">
        <f>VLOOKUP(INPUT!$A$2,INPUT!$A$5:$AJ$21,15,FALSE)</f>
        <v>9198</v>
      </c>
      <c r="G9" s="23">
        <f>VLOOKUP(INPUT!$A$2,INPUT!$A$5:$AJ$21,16,FALSE)</f>
        <v>452</v>
      </c>
    </row>
    <row r="10" spans="1:7" ht="27.95" customHeight="1" x14ac:dyDescent="0.2">
      <c r="A10" s="49" t="s">
        <v>9</v>
      </c>
      <c r="B10" s="3">
        <f>$B$4</f>
        <v>2017</v>
      </c>
      <c r="C10" s="37">
        <f>VLOOKUP(INPUT!$A$1,INPUT!$A$5:$AJ$21,17,FALSE)</f>
        <v>30012</v>
      </c>
      <c r="D10" s="37">
        <f>VLOOKUP(INPUT!$A$1,INPUT!$A$5:$AJ$21,18,FALSE)</f>
        <v>17342</v>
      </c>
      <c r="E10" s="25">
        <f>VLOOKUP(INPUT!$A$1,INPUT!$A$5:$AJ$21,19,FALSE)</f>
        <v>-204</v>
      </c>
      <c r="F10" s="37">
        <f>VLOOKUP(INPUT!$A$1,INPUT!$A$5:$AJ$21,20,FALSE)</f>
        <v>12501</v>
      </c>
      <c r="G10" s="23">
        <f>VLOOKUP(INPUT!$A$1,INPUT!$A$5:$AJ$21,21,FALSE)</f>
        <v>4163</v>
      </c>
    </row>
    <row r="11" spans="1:7" ht="27.95" customHeight="1" x14ac:dyDescent="0.2">
      <c r="A11" s="50"/>
      <c r="B11" s="3">
        <f>$B$5</f>
        <v>2016</v>
      </c>
      <c r="C11" s="37">
        <f>VLOOKUP(INPUT!$A$2,INPUT!$A$5:$AJ$21,17,FALSE)</f>
        <v>26534</v>
      </c>
      <c r="D11" s="37">
        <f>VLOOKUP(INPUT!$A$2,INPUT!$A$5:$AJ$21,18,FALSE)</f>
        <v>16681</v>
      </c>
      <c r="E11" s="25">
        <f>VLOOKUP(INPUT!$A$2,INPUT!$A$5:$AJ$21,19,FALSE)</f>
        <v>5772</v>
      </c>
      <c r="F11" s="37">
        <f>VLOOKUP(INPUT!$A$2,INPUT!$A$5:$AJ$21,20,FALSE)</f>
        <v>8959</v>
      </c>
      <c r="G11" s="23">
        <f>VLOOKUP(INPUT!$A$2,INPUT!$A$5:$AJ$21,21,FALSE)</f>
        <v>2886</v>
      </c>
    </row>
    <row r="12" spans="1:7" ht="27.95" customHeight="1" x14ac:dyDescent="0.2">
      <c r="A12" s="49" t="s">
        <v>10</v>
      </c>
      <c r="B12" s="3">
        <f>$B$4</f>
        <v>2017</v>
      </c>
      <c r="C12" s="37">
        <f>VLOOKUP(INPUT!$A$1,INPUT!$A$5:$AJ$21,22,FALSE)</f>
        <v>202715</v>
      </c>
      <c r="D12" s="37">
        <f>VLOOKUP(INPUT!$A$1,INPUT!$A$5:$AJ$21,23,FALSE)</f>
        <v>117035</v>
      </c>
      <c r="E12" s="25">
        <f>VLOOKUP(INPUT!$A$1,INPUT!$A$5:$AJ$21,24,FALSE)</f>
        <v>7903</v>
      </c>
      <c r="F12" s="37">
        <f>VLOOKUP(INPUT!$A$1,INPUT!$A$5:$AJ$21,25,FALSE)</f>
        <v>83991</v>
      </c>
      <c r="G12" s="23">
        <f>VLOOKUP(INPUT!$A$1,INPUT!$A$5:$AJ$21,26,FALSE)</f>
        <v>127</v>
      </c>
    </row>
    <row r="13" spans="1:7" ht="27.95" customHeight="1" x14ac:dyDescent="0.2">
      <c r="A13" s="50"/>
      <c r="B13" s="3">
        <f>$B$5</f>
        <v>2016</v>
      </c>
      <c r="C13" s="37">
        <f>VLOOKUP(INPUT!$A$2,INPUT!$A$5:$AJ$21,22,FALSE)</f>
        <v>183954</v>
      </c>
      <c r="D13" s="37">
        <f>VLOOKUP(INPUT!$A$2,INPUT!$A$5:$AJ$21,23,FALSE)</f>
        <v>118981</v>
      </c>
      <c r="E13" s="25">
        <f>VLOOKUP(INPUT!$A$2,INPUT!$A$5:$AJ$21,24,FALSE)</f>
        <v>5643</v>
      </c>
      <c r="F13" s="37">
        <f>VLOOKUP(INPUT!$A$2,INPUT!$A$5:$AJ$21,25,FALSE)</f>
        <v>66848</v>
      </c>
      <c r="G13" s="23">
        <f>VLOOKUP(INPUT!$A$2,INPUT!$A$5:$AJ$21,26,FALSE)</f>
        <v>107</v>
      </c>
    </row>
    <row r="14" spans="1:7" ht="27.95" customHeight="1" x14ac:dyDescent="0.2">
      <c r="A14" s="49" t="s">
        <v>11</v>
      </c>
      <c r="B14" s="3">
        <f>$B$4</f>
        <v>2017</v>
      </c>
      <c r="C14" s="37">
        <f>VLOOKUP(INPUT!$A$1,INPUT!$A$5:$AJ$21,27,FALSE)</f>
        <v>27518.171999999999</v>
      </c>
      <c r="D14" s="37">
        <f>VLOOKUP(INPUT!$A$1,INPUT!$A$5:$AJ$21,28,FALSE)</f>
        <v>15219</v>
      </c>
      <c r="E14" s="25">
        <f>VLOOKUP(INPUT!$A$1,INPUT!$A$5:$AJ$21,29,FALSE)</f>
        <v>-708</v>
      </c>
      <c r="F14" s="37">
        <f>VLOOKUP(INPUT!$A$1,INPUT!$A$5:$AJ$21,30,FALSE)</f>
        <v>4360.4319999999998</v>
      </c>
      <c r="G14" s="23">
        <f>VLOOKUP(INPUT!$A$1,INPUT!$A$5:$AJ$21,31,FALSE)</f>
        <v>972.37633599999992</v>
      </c>
    </row>
    <row r="15" spans="1:7" ht="27.95" customHeight="1" x14ac:dyDescent="0.2">
      <c r="A15" s="50"/>
      <c r="B15" s="3">
        <f>$B$5</f>
        <v>2016</v>
      </c>
      <c r="C15" s="37">
        <f>VLOOKUP(INPUT!$A$2,INPUT!$A$5:$AJ$21,27,FALSE)</f>
        <v>20147</v>
      </c>
      <c r="D15" s="37">
        <f>VLOOKUP(INPUT!$A$2,INPUT!$A$5:$AJ$21,28,FALSE)</f>
        <v>10321</v>
      </c>
      <c r="E15" s="25">
        <f>VLOOKUP(INPUT!$A$2,INPUT!$A$5:$AJ$21,29,FALSE)</f>
        <v>-1522</v>
      </c>
      <c r="F15" s="37">
        <f>VLOOKUP(INPUT!$A$2,INPUT!$A$5:$AJ$21,30,FALSE)</f>
        <v>5128</v>
      </c>
      <c r="G15" s="23">
        <f>VLOOKUP(INPUT!$A$2,INPUT!$A$5:$AJ$21,31,FALSE)</f>
        <v>1455</v>
      </c>
    </row>
    <row r="16" spans="1:7" ht="27.95" customHeight="1" x14ac:dyDescent="0.2">
      <c r="A16" s="49" t="s">
        <v>12</v>
      </c>
      <c r="B16" s="3">
        <f>$B$4</f>
        <v>2017</v>
      </c>
      <c r="C16" s="37">
        <f>VLOOKUP(INPUT!$A$1,INPUT!$A$5:$AJ$21,32,FALSE)</f>
        <v>449705.26535999333</v>
      </c>
      <c r="D16" s="37">
        <f>VLOOKUP(INPUT!$A$1,INPUT!$A$5:$AJ$21,33,FALSE)</f>
        <v>255052.48309465582</v>
      </c>
      <c r="E16" s="25">
        <f>VLOOKUP(INPUT!$A$1,INPUT!$A$5:$AJ$21,34,FALSE)</f>
        <v>15927.026729993324</v>
      </c>
      <c r="F16" s="37">
        <f>VLOOKUP(INPUT!$A$1,INPUT!$A$5:$AJ$21,35,FALSE)</f>
        <v>226993.13878000001</v>
      </c>
      <c r="G16" s="23">
        <f>VLOOKUP(INPUT!$A$1,INPUT!$A$5:$AJ$21,36,FALSE)</f>
        <v>17193.208320000002</v>
      </c>
    </row>
    <row r="17" spans="1:7" ht="27.95" customHeight="1" x14ac:dyDescent="0.2">
      <c r="A17" s="50"/>
      <c r="B17" s="3">
        <f>$B$5</f>
        <v>2016</v>
      </c>
      <c r="C17" s="23">
        <f>VLOOKUP(INPUT!$A$2,INPUT!$A$5:$AJ$21,32,FALSE)</f>
        <v>392079</v>
      </c>
      <c r="D17" s="23">
        <f>VLOOKUP(INPUT!$A$2,INPUT!$A$5:$AJ$21,33,FALSE)</f>
        <v>252357</v>
      </c>
      <c r="E17" s="23">
        <f>VLOOKUP(INPUT!$A$2,INPUT!$A$5:$AJ$21,34,FALSE)</f>
        <v>45942</v>
      </c>
      <c r="F17" s="23">
        <f>VLOOKUP(INPUT!$A$2,INPUT!$A$5:$AJ$21,35,FALSE)</f>
        <v>173020</v>
      </c>
      <c r="G17" s="23">
        <f>VLOOKUP(INPUT!$A$2,INPUT!$A$5:$AJ$21,36,FALSE)</f>
        <v>12897</v>
      </c>
    </row>
    <row r="18" spans="1:7" x14ac:dyDescent="0.2">
      <c r="C18" s="1"/>
      <c r="D18" s="1"/>
      <c r="F18" s="1"/>
    </row>
    <row r="19" spans="1:7" ht="15" x14ac:dyDescent="0.2">
      <c r="A19" s="5" t="str">
        <f>"*"&amp;INPUT!C1</f>
        <v>*CSX Transportation Inc.'s quarter ended on September 30, 2017.</v>
      </c>
      <c r="C19" s="1"/>
      <c r="D19" s="1"/>
      <c r="F19" s="1"/>
    </row>
    <row r="20" spans="1:7" ht="15" x14ac:dyDescent="0.2">
      <c r="A20" s="5" t="str">
        <f>"*"&amp;INPUT!C2</f>
        <v>*CSX Transportation Inc.'s quarter ended on September 23, 2016.</v>
      </c>
      <c r="C20" s="1"/>
      <c r="D20" s="1"/>
      <c r="F20" s="1"/>
    </row>
    <row r="21" spans="1:7" ht="15" x14ac:dyDescent="0.2">
      <c r="A21" s="5"/>
      <c r="B21" s="5"/>
      <c r="C21" s="1"/>
      <c r="D21" s="1"/>
      <c r="F21" s="1"/>
    </row>
    <row r="22" spans="1:7" ht="15" x14ac:dyDescent="0.2">
      <c r="A22" s="5" t="s">
        <v>13</v>
      </c>
      <c r="B22" s="5"/>
      <c r="C22" s="1"/>
      <c r="D22" s="1"/>
      <c r="F22" s="1"/>
    </row>
    <row r="23" spans="1:7" x14ac:dyDescent="0.2">
      <c r="C23" s="1"/>
      <c r="D23" s="1"/>
      <c r="F23" s="1"/>
    </row>
    <row r="24" spans="1:7" x14ac:dyDescent="0.2">
      <c r="C24" s="1"/>
      <c r="D24" s="1"/>
      <c r="F24" s="1"/>
    </row>
    <row r="25" spans="1:7" x14ac:dyDescent="0.2">
      <c r="C25" s="1"/>
      <c r="D25" s="1"/>
      <c r="F25" s="1"/>
    </row>
    <row r="26" spans="1:7" x14ac:dyDescent="0.2">
      <c r="C26" s="1"/>
      <c r="D26" s="1"/>
      <c r="F26" s="1"/>
    </row>
    <row r="27" spans="1:7" x14ac:dyDescent="0.2">
      <c r="C27" s="1"/>
      <c r="D27" s="1"/>
      <c r="F27" s="1"/>
    </row>
    <row r="28" spans="1:7" x14ac:dyDescent="0.2">
      <c r="C28" s="1"/>
      <c r="D28" s="1"/>
      <c r="F28" s="1"/>
    </row>
    <row r="29" spans="1:7" x14ac:dyDescent="0.2">
      <c r="C29" s="1"/>
      <c r="D29" s="1"/>
      <c r="F29" s="1"/>
    </row>
    <row r="30" spans="1:7" x14ac:dyDescent="0.2">
      <c r="C30" s="1"/>
      <c r="D30" s="1"/>
      <c r="F30" s="1"/>
    </row>
    <row r="31" spans="1:7" x14ac:dyDescent="0.2">
      <c r="C31" s="1"/>
      <c r="D31" s="1"/>
      <c r="F31" s="1"/>
    </row>
    <row r="32" spans="1:7" x14ac:dyDescent="0.2">
      <c r="C32" s="1"/>
      <c r="D32" s="1"/>
      <c r="F32" s="1"/>
    </row>
    <row r="33" spans="3:6" x14ac:dyDescent="0.2">
      <c r="C33" s="1"/>
      <c r="D33" s="1"/>
      <c r="F33" s="1"/>
    </row>
    <row r="34" spans="3:6" x14ac:dyDescent="0.2">
      <c r="C34" s="1"/>
      <c r="D34" s="1"/>
      <c r="F34" s="1"/>
    </row>
    <row r="35" spans="3:6" x14ac:dyDescent="0.2">
      <c r="C35" s="1"/>
      <c r="D35" s="1"/>
      <c r="F35" s="1"/>
    </row>
    <row r="36" spans="3:6" x14ac:dyDescent="0.2">
      <c r="C36" s="1"/>
      <c r="D36" s="1"/>
      <c r="F36" s="1"/>
    </row>
    <row r="37" spans="3:6" x14ac:dyDescent="0.2">
      <c r="C37" s="1"/>
      <c r="D37" s="1"/>
      <c r="F37" s="1"/>
    </row>
    <row r="38" spans="3:6" x14ac:dyDescent="0.2">
      <c r="C38" s="1"/>
      <c r="D38" s="1"/>
      <c r="F38" s="1"/>
    </row>
    <row r="39" spans="3:6" x14ac:dyDescent="0.2">
      <c r="C39" s="1"/>
      <c r="D39" s="1"/>
      <c r="F39" s="1"/>
    </row>
    <row r="40" spans="3:6" x14ac:dyDescent="0.2">
      <c r="C40" s="1"/>
      <c r="D40" s="1"/>
      <c r="F40" s="1"/>
    </row>
    <row r="41" spans="3:6" x14ac:dyDescent="0.2">
      <c r="C41" s="1"/>
      <c r="D41" s="1"/>
      <c r="F41" s="1"/>
    </row>
    <row r="42" spans="3:6" x14ac:dyDescent="0.2">
      <c r="C42" s="1"/>
      <c r="D42" s="1"/>
      <c r="F42" s="1"/>
    </row>
    <row r="43" spans="3:6" x14ac:dyDescent="0.2">
      <c r="C43" s="1"/>
      <c r="D43" s="1"/>
      <c r="F43" s="1"/>
    </row>
    <row r="44" spans="3:6" x14ac:dyDescent="0.2">
      <c r="C44" s="1"/>
      <c r="D44" s="1"/>
      <c r="F44" s="1"/>
    </row>
    <row r="45" spans="3:6" x14ac:dyDescent="0.2">
      <c r="C45" s="1"/>
      <c r="D45" s="1"/>
      <c r="F45" s="1"/>
    </row>
    <row r="46" spans="3:6" x14ac:dyDescent="0.2">
      <c r="C46" s="1"/>
      <c r="D46" s="1"/>
      <c r="F46" s="1"/>
    </row>
    <row r="47" spans="3:6" x14ac:dyDescent="0.2">
      <c r="C47" s="1"/>
      <c r="D47" s="1"/>
      <c r="F47" s="1"/>
    </row>
    <row r="48" spans="3:6" x14ac:dyDescent="0.2">
      <c r="C48" s="1"/>
      <c r="D48" s="1"/>
      <c r="F48" s="1"/>
    </row>
    <row r="49" spans="3:6" x14ac:dyDescent="0.2">
      <c r="C49" s="1"/>
      <c r="D49" s="1"/>
      <c r="F49" s="1"/>
    </row>
    <row r="50" spans="3:6" x14ac:dyDescent="0.2">
      <c r="C50" s="1"/>
      <c r="D50" s="1"/>
      <c r="F50" s="1"/>
    </row>
    <row r="51" spans="3:6" x14ac:dyDescent="0.2">
      <c r="C51" s="1"/>
      <c r="D51" s="1"/>
      <c r="F51" s="1"/>
    </row>
    <row r="52" spans="3:6" x14ac:dyDescent="0.2">
      <c r="C52" s="1"/>
      <c r="D52" s="1"/>
      <c r="F52" s="1"/>
    </row>
    <row r="53" spans="3:6" x14ac:dyDescent="0.2">
      <c r="C53" s="1"/>
      <c r="D53" s="1"/>
      <c r="F53" s="1"/>
    </row>
    <row r="54" spans="3:6" x14ac:dyDescent="0.2">
      <c r="C54" s="1"/>
      <c r="D54" s="1"/>
      <c r="F54" s="1"/>
    </row>
    <row r="55" spans="3:6" x14ac:dyDescent="0.2">
      <c r="C55" s="1"/>
      <c r="D55" s="1"/>
      <c r="F55" s="1"/>
    </row>
    <row r="56" spans="3:6" x14ac:dyDescent="0.2">
      <c r="C56" s="1"/>
      <c r="D56" s="1"/>
      <c r="F56" s="1"/>
    </row>
    <row r="57" spans="3:6" x14ac:dyDescent="0.2">
      <c r="C57" s="1"/>
      <c r="D57" s="1"/>
      <c r="F57" s="1"/>
    </row>
    <row r="58" spans="3:6" x14ac:dyDescent="0.2">
      <c r="C58" s="1"/>
      <c r="D58" s="1"/>
      <c r="F58" s="1"/>
    </row>
    <row r="59" spans="3:6" x14ac:dyDescent="0.2">
      <c r="C59" s="1"/>
      <c r="D59" s="1"/>
      <c r="F59" s="1"/>
    </row>
    <row r="60" spans="3:6" x14ac:dyDescent="0.2">
      <c r="C60" s="1"/>
      <c r="D60" s="1"/>
      <c r="F60" s="1"/>
    </row>
    <row r="61" spans="3:6" x14ac:dyDescent="0.2">
      <c r="C61" s="1"/>
      <c r="D61" s="1"/>
      <c r="F61" s="1"/>
    </row>
    <row r="62" spans="3:6" x14ac:dyDescent="0.2">
      <c r="C62" s="1"/>
      <c r="D62" s="1"/>
      <c r="F62" s="1"/>
    </row>
    <row r="63" spans="3:6" x14ac:dyDescent="0.2">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2017-11-01T15:57:08Z</cp:lastPrinted>
  <dcterms:created xsi:type="dcterms:W3CDTF">2013-02-13T08:02:04Z</dcterms:created>
  <dcterms:modified xsi:type="dcterms:W3CDTF">2017-11-07T19:59:04Z</dcterms:modified>
</cp:coreProperties>
</file>